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.penteleychuk\Downloads\"/>
    </mc:Choice>
  </mc:AlternateContent>
  <bookViews>
    <workbookView xWindow="-120" yWindow="-120" windowWidth="28110" windowHeight="16440" activeTab="0"/>
  </bookViews>
  <sheets>
    <sheet name="Universal Hourly Rate" sheetId="3" r:id="rId3"/>
    <sheet name="ReadMe" sheetId="4" r:id="rId4"/>
  </sheets>
  <definedNames/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</calcChain>
</file>

<file path=xl/sharedStrings.xml><?xml version="1.0" encoding="utf-8"?>
<sst xmlns="http://schemas.openxmlformats.org/spreadsheetml/2006/main" count="60" uniqueCount="59">
  <si>
    <t>MACHINE &amp; FINANCE</t>
  </si>
  <si>
    <t>Purchase</t>
  </si>
  <si>
    <t>PurchasePrice</t>
  </si>
  <si>
    <t>TIME BASIS</t>
  </si>
  <si>
    <t>Y</t>
  </si>
  <si>
    <t>ENERGY &amp; RUNNING</t>
  </si>
  <si>
    <t>MAINTENANCE, CONSUMABLES, LABOR, OVERHEAD</t>
  </si>
  <si>
    <t>CALCULATIONS</t>
  </si>
  <si>
    <t>Use average cutting power, not nameplate.</t>
  </si>
  <si>
    <t>Charge-out rate per productive hour.</t>
  </si>
  <si>
    <t>Any Machine</t>
  </si>
  <si>
    <t>1) Pick a sheet: CNC_Rate, VMC_Rate, Universal_Rate.</t>
  </si>
  <si>
    <t>2) Fill column B inputs. Choose Purchase or Lease.</t>
  </si>
  <si>
    <t>3) If UseOEE=Y, ProductiveHours = AvailableHours * OEE. If N, type your DirectProductiveHours.</t>
  </si>
  <si>
    <t>4) Review outputs in CALCULATIONS. HourlyRate is TotalAnnualCost / ProductiveHours.</t>
  </si>
  <si>
    <t>High-leverage knobs:</t>
  </si>
  <si>
    <t>Machine Hourly Rate Calculator - MDCplus</t>
  </si>
  <si>
    <t>Machine Name</t>
  </si>
  <si>
    <t>Cost Model (Purchase/Lease)</t>
  </si>
  <si>
    <t>Life Years</t>
  </si>
  <si>
    <t>Annual Lease Payment</t>
  </si>
  <si>
    <t>Interest Rate (annual)</t>
  </si>
  <si>
    <t>Residual Value</t>
  </si>
  <si>
    <t>Working Days Per Year</t>
  </si>
  <si>
    <t>Shifts Per Day</t>
  </si>
  <si>
    <t>Hours Per Shift</t>
  </si>
  <si>
    <t>Use OEE? (Y/N)</t>
  </si>
  <si>
    <t>0 - 100%</t>
  </si>
  <si>
    <t>OEE</t>
  </si>
  <si>
    <t>Direct Productive Hours (override)</t>
  </si>
  <si>
    <t>Rated Power, kW</t>
  </si>
  <si>
    <t>Energy Price, USD/kWh</t>
  </si>
  <si>
    <t>Load Factor</t>
  </si>
  <si>
    <t>Tooling Cost Per Hour</t>
  </si>
  <si>
    <t>Maintenance Rate % of CapEx</t>
  </si>
  <si>
    <t>Coolant Cost Per Hour</t>
  </si>
  <si>
    <t>Other Consumables Per Hour</t>
  </si>
  <si>
    <t>Operator Wage Per Hour</t>
  </si>
  <si>
    <t>Staffing Ratio (people per machine)</t>
  </si>
  <si>
    <t>Attended Factor (labor hrs per productive hr)</t>
  </si>
  <si>
    <t>Overhead Rate Pct on run costs</t>
  </si>
  <si>
    <t>Overhead applied to Energy + Maintenance + Consumables + Labor.</t>
  </si>
  <si>
    <t>Available Hours (annual)</t>
  </si>
  <si>
    <t>Productive Hours (annual)</t>
  </si>
  <si>
    <t>Energy (annual)</t>
  </si>
  <si>
    <t>Maintenance (annual)</t>
  </si>
  <si>
    <t>Consumables (annual)</t>
  </si>
  <si>
    <t>Labor (annual)</t>
  </si>
  <si>
    <t>Depreciation (annual)</t>
  </si>
  <si>
    <t>Interest (annual)</t>
  </si>
  <si>
    <t>Lease (annual)</t>
  </si>
  <si>
    <t>Overhead (annual)</t>
  </si>
  <si>
    <t>Total Annual Cost</t>
  </si>
  <si>
    <t>Hourly Rate</t>
  </si>
  <si>
    <t>- OEE, Staffing Ratio, Operator Wage Per Hour, Overhead Rate Pct.</t>
  </si>
  <si>
    <t>- Load Factor should reflect average cutting load, not spindle nameplate.</t>
  </si>
  <si>
    <t>Universal Hourly Rate Calculator | MDCplus</t>
  </si>
  <si>
    <t>Purchase uses Depreciation + Interest. Lease uses Annual Lease Payment.</t>
  </si>
  <si>
    <t>Y - use OEE to derive Productive Hours. N - use Direct Productive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</si>
</sst>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0.0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A73F"/>
        <bgColor indexed="64"/>
      </patternFill>
    </fill>
    <fill>
      <patternFill patternType="solid">
        <fgColor rgb="FFCBF5D4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quotePrefix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44" fontId="0" fillId="2" borderId="0" xfId="16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44" fontId="0" fillId="4" borderId="0" xfId="16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7" fillId="2" borderId="0" xfId="0" applyFont="1" applyFill="1"/>
    <xf numFmtId="44" fontId="6" fillId="3" borderId="0" xfId="16" applyFont="1" applyFill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tabSelected="1" workbookViewId="0" topLeftCell="A1">
      <selection pane="topLeft" activeCell="C25" sqref="C25"/>
    </sheetView>
  </sheetViews>
  <sheetFormatPr defaultRowHeight="15"/>
  <cols>
    <col min="1" max="1" width="41" style="1" customWidth="1"/>
    <col min="2" max="2" width="15.2857142857143" style="6" customWidth="1"/>
    <col min="3" max="3" width="66.5714285714286" style="1" bestFit="1" customWidth="1"/>
    <col min="4" max="16384" width="9.14285714285714" style="1"/>
  </cols>
  <sheetData>
    <row r="1" spans="1:3" ht="26.25">
      <c r="A1" s="12" t="s">
        <v>56</v>
      </c>
      <c r="B1" s="5"/>
      <c r="C1" s="4"/>
    </row>
    <row r="3" spans="1:3" s="17" customFormat="1" ht="15.75">
      <c r="A3" s="11" t="s">
        <v>0</v>
      </c>
      <c r="B3" s="15"/>
      <c r="C3" s="16"/>
    </row>
    <row r="4" spans="1:2" ht="15">
      <c r="A4" s="1" t="s">
        <v>17</v>
      </c>
      <c r="B4" s="6" t="s">
        <v>10</v>
      </c>
    </row>
    <row r="5" spans="1:3" ht="15">
      <c r="A5" s="1" t="s">
        <v>18</v>
      </c>
      <c r="B5" s="6" t="s">
        <v>1</v>
      </c>
      <c r="C5" s="1" t="s">
        <v>57</v>
      </c>
    </row>
    <row r="6" spans="1:2" ht="15">
      <c r="A6" s="1" t="s">
        <v>2</v>
      </c>
      <c r="B6" s="10">
        <v>100000</v>
      </c>
    </row>
    <row r="7" spans="1:2" ht="15">
      <c r="A7" s="1" t="s">
        <v>22</v>
      </c>
      <c r="B7" s="10">
        <v>10000</v>
      </c>
    </row>
    <row r="8" spans="1:2" ht="15">
      <c r="A8" s="1" t="s">
        <v>19</v>
      </c>
      <c r="B8" s="6">
        <v>7</v>
      </c>
    </row>
    <row r="9" spans="1:2" ht="15">
      <c r="A9" s="1" t="s">
        <v>20</v>
      </c>
      <c r="B9" s="10">
        <v>0</v>
      </c>
    </row>
    <row r="10" spans="1:2" ht="15">
      <c r="A10" s="1" t="s">
        <v>21</v>
      </c>
      <c r="B10" s="8">
        <v>0.08</v>
      </c>
    </row>
    <row r="11" spans="1:3" s="17" customFormat="1" ht="15.75">
      <c r="A11" s="11" t="s">
        <v>3</v>
      </c>
      <c r="B11" s="15"/>
      <c r="C11" s="16"/>
    </row>
    <row r="12" spans="1:2" ht="15">
      <c r="A12" s="1" t="s">
        <v>23</v>
      </c>
      <c r="B12" s="6">
        <v>250</v>
      </c>
    </row>
    <row r="13" spans="1:2" ht="15">
      <c r="A13" s="1" t="s">
        <v>24</v>
      </c>
      <c r="B13" s="6">
        <v>1</v>
      </c>
    </row>
    <row r="14" spans="1:2" ht="15">
      <c r="A14" s="1" t="s">
        <v>25</v>
      </c>
      <c r="B14" s="6">
        <v>8</v>
      </c>
    </row>
    <row r="15" spans="1:3" ht="15">
      <c r="A15" s="1" t="s">
        <v>26</v>
      </c>
      <c r="B15" s="6" t="s">
        <v>4</v>
      </c>
      <c r="C15" s="1" t="s">
        <v>58</v>
      </c>
    </row>
    <row r="16" spans="1:3" ht="15">
      <c r="A16" s="1" t="s">
        <v>28</v>
      </c>
      <c r="B16" s="8">
        <v>0.55000000000000004</v>
      </c>
      <c r="C16" s="1" t="s">
        <v>27</v>
      </c>
    </row>
    <row r="17" spans="1:2" ht="15">
      <c r="A17" s="1" t="s">
        <v>29</v>
      </c>
      <c r="B17" s="9">
        <v>0</v>
      </c>
    </row>
    <row r="18" spans="1:3" s="17" customFormat="1" ht="15.75">
      <c r="A18" s="11" t="s">
        <v>5</v>
      </c>
      <c r="B18" s="15"/>
      <c r="C18" s="16"/>
    </row>
    <row r="19" spans="1:3" ht="15">
      <c r="A19" s="1" t="s">
        <v>30</v>
      </c>
      <c r="B19" s="6">
        <v>8</v>
      </c>
      <c r="C19" s="1" t="s">
        <v>8</v>
      </c>
    </row>
    <row r="20" spans="1:3" ht="15">
      <c r="A20" s="1" t="s">
        <v>32</v>
      </c>
      <c r="B20" s="8">
        <v>0.50</v>
      </c>
      <c r="C20" s="1" t="s">
        <v>27</v>
      </c>
    </row>
    <row r="21" spans="1:2" ht="15">
      <c r="A21" s="1" t="s">
        <v>31</v>
      </c>
      <c r="B21" s="7">
        <v>0.12</v>
      </c>
    </row>
    <row r="22" spans="1:3" s="17" customFormat="1" ht="15.75">
      <c r="A22" s="11" t="s">
        <v>6</v>
      </c>
      <c r="B22" s="15"/>
      <c r="C22" s="16"/>
    </row>
    <row r="23" spans="1:2" ht="15">
      <c r="A23" s="1" t="s">
        <v>34</v>
      </c>
      <c r="B23" s="8">
        <v>0.04</v>
      </c>
    </row>
    <row r="24" spans="1:2" ht="15">
      <c r="A24" s="1" t="s">
        <v>33</v>
      </c>
      <c r="B24" s="7">
        <v>5</v>
      </c>
    </row>
    <row r="25" spans="1:2" ht="15">
      <c r="A25" s="1" t="s">
        <v>35</v>
      </c>
      <c r="B25" s="7">
        <v>0.80</v>
      </c>
    </row>
    <row r="26" spans="1:2" ht="15">
      <c r="A26" s="1" t="s">
        <v>36</v>
      </c>
      <c r="B26" s="7">
        <v>0.50</v>
      </c>
    </row>
    <row r="27" spans="1:2" ht="15">
      <c r="A27" s="1" t="s">
        <v>37</v>
      </c>
      <c r="B27" s="7">
        <v>18</v>
      </c>
    </row>
    <row r="28" spans="1:2" ht="15">
      <c r="A28" s="1" t="s">
        <v>38</v>
      </c>
      <c r="B28" s="6">
        <v>0.70</v>
      </c>
    </row>
    <row r="29" spans="1:2" ht="15">
      <c r="A29" s="1" t="s">
        <v>39</v>
      </c>
      <c r="B29" s="6">
        <v>1</v>
      </c>
    </row>
    <row r="30" spans="1:3" ht="15">
      <c r="A30" s="1" t="s">
        <v>40</v>
      </c>
      <c r="B30" s="8">
        <v>0.20</v>
      </c>
      <c r="C30" s="1" t="s">
        <v>41</v>
      </c>
    </row>
    <row r="31" spans="1:3" s="17" customFormat="1" ht="15.75">
      <c r="A31" s="11" t="s">
        <v>7</v>
      </c>
      <c r="B31" s="18"/>
      <c r="C31" s="16"/>
    </row>
    <row r="32" spans="1:2" ht="15">
      <c r="A32" s="1" t="s">
        <v>42</v>
      </c>
      <c r="B32" s="13">
        <f>B12*B13*B14</f>
        <v>2000</v>
      </c>
    </row>
    <row r="33" spans="1:2" ht="15">
      <c r="A33" s="1" t="s">
        <v>43</v>
      </c>
      <c r="B33" s="13">
        <f>IF(UPPER(B15)="Y",B32*B16,B17)</f>
        <v>1100</v>
      </c>
    </row>
    <row r="34" spans="1:2" ht="15">
      <c r="A34" s="1" t="s">
        <v>44</v>
      </c>
      <c r="B34" s="13">
        <f>B19*B20*B21*B33</f>
        <v>528</v>
      </c>
    </row>
    <row r="35" spans="1:2" ht="15">
      <c r="A35" s="1" t="s">
        <v>45</v>
      </c>
      <c r="B35" s="13">
        <f>B23*B6</f>
        <v>4000</v>
      </c>
    </row>
    <row r="36" spans="1:2" ht="15">
      <c r="A36" s="1" t="s">
        <v>46</v>
      </c>
      <c r="B36" s="13">
        <f>(B24+B25+B26)*B33</f>
        <v>6930</v>
      </c>
    </row>
    <row r="37" spans="1:2" ht="15">
      <c r="A37" s="1" t="s">
        <v>47</v>
      </c>
      <c r="B37" s="13">
        <f>B27*B28*B29*B33</f>
        <v>13860</v>
      </c>
    </row>
    <row r="38" spans="1:2" ht="15">
      <c r="A38" s="1" t="s">
        <v>48</v>
      </c>
      <c r="B38" s="13">
        <f>IF(UPPER(B5)="PURCHASE",(B6-B7)/B8,0)</f>
        <v>12857.142857142857</v>
      </c>
    </row>
    <row r="39" spans="1:2" ht="15">
      <c r="A39" s="1" t="s">
        <v>49</v>
      </c>
      <c r="B39" s="13">
        <f>IF(UPPER(B5)="PURCHASE",((B6+B7)/2)*B10,0)</f>
        <v>4400</v>
      </c>
    </row>
    <row r="40" spans="1:2" ht="15">
      <c r="A40" s="1" t="s">
        <v>50</v>
      </c>
      <c r="B40" s="13">
        <f>IF(UPPER(B5)="LEASE",B9,0)</f>
        <v>0</v>
      </c>
    </row>
    <row r="41" spans="1:2" ht="15">
      <c r="A41" s="1" t="s">
        <v>51</v>
      </c>
      <c r="B41" s="13">
        <f>B30*(B34+B35+B36+B37)</f>
        <v>5063.6000000000004</v>
      </c>
    </row>
    <row r="42" spans="1:2" ht="15">
      <c r="A42" s="1" t="s">
        <v>52</v>
      </c>
      <c r="B42" s="13">
        <f>SUM(B34:B41)</f>
        <v>47638.742857142854</v>
      </c>
    </row>
    <row r="43" spans="1:3" ht="15">
      <c r="A43" s="1" t="s">
        <v>53</v>
      </c>
      <c r="B43" s="13">
        <f>IF(B33=0,"",B42/B33)</f>
        <v>43.307948051948046</v>
      </c>
      <c r="C43" s="1" t="s">
        <v>9</v>
      </c>
    </row>
    <row r="44" spans="2:2" ht="15">
      <c r="B4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 topLeftCell="A1"/>
  </sheetViews>
  <sheetFormatPr defaultRowHeight="15"/>
  <cols>
    <col min="1" max="1" width="100.714285714286" style="1" customWidth="1"/>
    <col min="2" max="16384" width="9.14285714285714" style="1"/>
  </cols>
  <sheetData>
    <row r="1" spans="1:1" ht="15">
      <c r="A1" s="3" t="s">
        <v>16</v>
      </c>
    </row>
    <row r="3" spans="1:1" ht="15">
      <c r="A3" s="1" t="s">
        <v>11</v>
      </c>
    </row>
    <row r="4" spans="1:1" ht="15">
      <c r="A4" s="1" t="s">
        <v>12</v>
      </c>
    </row>
    <row r="5" spans="1:1" ht="15">
      <c r="A5" s="1" t="s">
        <v>13</v>
      </c>
    </row>
    <row r="6" spans="1:1" ht="15">
      <c r="A6" s="1" t="s">
        <v>14</v>
      </c>
    </row>
    <row r="8" spans="1:1" ht="15">
      <c r="A8" s="1" t="s">
        <v>15</v>
      </c>
    </row>
    <row r="9" spans="1:1" ht="15">
      <c r="A9" s="2" t="s">
        <v>54</v>
      </c>
    </row>
    <row r="10" spans="1:1" ht="15">
      <c r="A10" s="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Universal Hourly Rate</vt:lpstr>
      <vt:lpstr>ReadMe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